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O:\2015\2015370\FRA\96053\structures\wall_4W17\design\Estimated Quantities\"/>
    </mc:Choice>
  </mc:AlternateContent>
  <xr:revisionPtr revIDLastSave="0" documentId="13_ncr:1_{A5E41370-A289-49EC-A488-3312D7DD384B}" xr6:coauthVersionLast="47" xr6:coauthVersionMax="47" xr10:uidLastSave="{00000000-0000-0000-0000-000000000000}"/>
  <bookViews>
    <workbookView xWindow="29925" yWindow="1125" windowWidth="21600" windowHeight="11295" xr2:uid="{00000000-000D-0000-FFFF-FFFF00000000}"/>
  </bookViews>
  <sheets>
    <sheet name="AutoTable" sheetId="2" r:id="rId1"/>
    <sheet name="4W17" sheetId="7" r:id="rId2"/>
  </sheets>
  <externalReferences>
    <externalReference r:id="rId3"/>
    <externalReference r:id="rId4"/>
  </externalReferences>
  <definedNames>
    <definedName name="_xlnm.Print_Area" localSheetId="1">'4W17'!$A$1:$K$155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155" i="7" l="1"/>
  <c r="E30" i="2"/>
  <c r="E28" i="2"/>
  <c r="E21" i="2"/>
  <c r="E20" i="2"/>
  <c r="E16" i="2"/>
  <c r="E15" i="2"/>
  <c r="E14" i="2"/>
  <c r="E12" i="2"/>
  <c r="E11" i="2"/>
  <c r="E10" i="2"/>
  <c r="E8" i="2"/>
  <c r="E6" i="2"/>
  <c r="E128" i="7"/>
  <c r="E134" i="7"/>
  <c r="E25" i="7" l="1"/>
  <c r="D109" i="7" l="1"/>
  <c r="C116" i="7" s="1"/>
  <c r="E45" i="7" l="1"/>
  <c r="E42" i="7"/>
  <c r="H28" i="2" l="1"/>
  <c r="H26" i="2"/>
  <c r="H24" i="2"/>
  <c r="H23" i="2"/>
  <c r="H12" i="2"/>
  <c r="H10" i="2"/>
  <c r="D74" i="7" l="1"/>
  <c r="E140" i="7" l="1"/>
  <c r="E99" i="7"/>
  <c r="D88" i="7" l="1"/>
  <c r="C36" i="7"/>
  <c r="D107" i="7" s="1"/>
  <c r="C115" i="7" s="1"/>
  <c r="E118" i="7" s="1"/>
  <c r="D90" i="7" l="1"/>
  <c r="E92" i="7" s="1"/>
  <c r="D16" i="2" s="1"/>
  <c r="C146" i="7"/>
  <c r="E43" i="7"/>
  <c r="E44" i="7" s="1"/>
  <c r="C81" i="7"/>
  <c r="E83" i="7" s="1"/>
  <c r="D15" i="2" s="1"/>
  <c r="D21" i="2"/>
  <c r="D75" i="7"/>
  <c r="E77" i="7" s="1"/>
  <c r="D14" i="2" s="1"/>
  <c r="E63" i="7"/>
  <c r="E70" i="7" s="1"/>
  <c r="E148" i="7"/>
  <c r="D28" i="2" s="1"/>
  <c r="E142" i="7"/>
  <c r="E136" i="7"/>
  <c r="E130" i="7"/>
  <c r="E124" i="7"/>
  <c r="D108" i="7"/>
  <c r="D106" i="7"/>
  <c r="E96" i="7"/>
  <c r="E50" i="7"/>
  <c r="C35" i="7"/>
  <c r="E111" i="7" l="1"/>
  <c r="D20" i="2" s="1"/>
  <c r="D23" i="2"/>
  <c r="E23" i="2" s="1"/>
  <c r="D24" i="2"/>
  <c r="E24" i="2" s="1"/>
  <c r="D26" i="2"/>
  <c r="E26" i="2" s="1"/>
  <c r="E46" i="7"/>
  <c r="E52" i="7"/>
  <c r="D11" i="2" s="1"/>
  <c r="D12" i="2"/>
  <c r="D6" i="2"/>
  <c r="E102" i="7"/>
  <c r="E38" i="7"/>
  <c r="D10" i="2" s="1"/>
  <c r="D18" i="2" l="1"/>
  <c r="E18" i="2" s="1"/>
  <c r="E31" i="7"/>
  <c r="D8" i="2" s="1"/>
</calcChain>
</file>

<file path=xl/sharedStrings.xml><?xml version="1.0" encoding="utf-8"?>
<sst xmlns="http://schemas.openxmlformats.org/spreadsheetml/2006/main" count="211" uniqueCount="121">
  <si>
    <t>ITEM</t>
  </si>
  <si>
    <t>EXT.</t>
  </si>
  <si>
    <t>TOTAL</t>
  </si>
  <si>
    <t>UNITS</t>
  </si>
  <si>
    <t>DESCRIPTION</t>
  </si>
  <si>
    <t>CY</t>
  </si>
  <si>
    <t>UNCLASSIFIED EXCAVATION</t>
  </si>
  <si>
    <t>SF</t>
  </si>
  <si>
    <t>LB</t>
  </si>
  <si>
    <t>EPOXY COATED REINFORCING STEEL</t>
  </si>
  <si>
    <t>SY</t>
  </si>
  <si>
    <t>FT</t>
  </si>
  <si>
    <t>SPECIAL</t>
  </si>
  <si>
    <t>POROUS BACKFILL WITH GEOTEXTILE FABRIC</t>
  </si>
  <si>
    <t>SEALING CONCRETE SURFACES (EPOXY-URETHANE)</t>
  </si>
  <si>
    <t>1" PREFORMED EXPANSION JOINT FILLER</t>
  </si>
  <si>
    <t>6" PERFORATED CORRUGATED PLASTIC PIPE</t>
  </si>
  <si>
    <t>Project:</t>
  </si>
  <si>
    <t>Design:</t>
  </si>
  <si>
    <t>Subject:</t>
  </si>
  <si>
    <t>Check:</t>
  </si>
  <si>
    <t>Date:</t>
  </si>
  <si>
    <t>ITEM 503 - UNCLASSIFIED EXCAVATION</t>
  </si>
  <si>
    <t>ft</t>
  </si>
  <si>
    <t xml:space="preserve">Total = </t>
  </si>
  <si>
    <t>cy</t>
  </si>
  <si>
    <t>ITEM 509 - EPOXY COATED REINFORCING STEEL</t>
  </si>
  <si>
    <t>Wall</t>
  </si>
  <si>
    <t>lbs</t>
  </si>
  <si>
    <t>Total =</t>
  </si>
  <si>
    <t xml:space="preserve">area = </t>
  </si>
  <si>
    <t>sf</t>
  </si>
  <si>
    <t xml:space="preserve">length = </t>
  </si>
  <si>
    <t xml:space="preserve">height = </t>
  </si>
  <si>
    <t>cf</t>
  </si>
  <si>
    <t>sy</t>
  </si>
  <si>
    <t>ITEM 512 - SEALING OF CONCRETE SURFACES (EPOXY-URETHANE)</t>
  </si>
  <si>
    <t>ITEM 516 - 1" PREFORMED EXPANSION JOINT FILLER</t>
  </si>
  <si>
    <t>ITEM 518 - POROUS BACKFILL WITH GEOTEXTILE FABRIC</t>
  </si>
  <si>
    <t xml:space="preserve"> </t>
  </si>
  <si>
    <t>ITEM 518 - 6" PERFORATED CORRUGATED PLASTIC PIPE</t>
  </si>
  <si>
    <t>ITEM 511 - CLASS QC1 CONCRETE WITH QC/QA, FOOTING</t>
  </si>
  <si>
    <t>STRUCTURES: PRECAST FACADE PANELS</t>
  </si>
  <si>
    <t>CLASS QC2 CONCRETE WTH QC/QA, BRIDGE DECK (PARAPET), AS PER PLAN</t>
  </si>
  <si>
    <t>FENCE, MISC.: WALL MOUNTED TYPE A (W/ VANDAL MESH)</t>
  </si>
  <si>
    <t>SEALING CONCRETE SURFACES (NON-EPOXY)</t>
  </si>
  <si>
    <t>ITEM 512 - SEALING OF CONCRETE SURFACES (NON-EPOXY)</t>
  </si>
  <si>
    <t>ITEM 512 - TYPE 2 WATERPROOFING</t>
  </si>
  <si>
    <t>TYPE 2 WATERPROOFING</t>
  </si>
  <si>
    <t>DRILLED SHAFTS, 60" DIAMETER, ABOVE BEDROCK WITH QC/QA, AS PER PLAN</t>
  </si>
  <si>
    <t>each</t>
  </si>
  <si>
    <t>width =</t>
  </si>
  <si>
    <t>LS</t>
  </si>
  <si>
    <t>COFFERDAMS AND EXCAVATION BRACING</t>
  </si>
  <si>
    <t>CLASS QC1 CONCRETE, MISC.: DRILLED SHAFT CAP</t>
  </si>
  <si>
    <t>A.P.P. REFERENCE SHEET NO.</t>
  </si>
  <si>
    <t>CLASS QC1 CONCRETE WITH QC/QA, FOOTING</t>
  </si>
  <si>
    <t>WALL 4W17</t>
  </si>
  <si>
    <t>ITEM 503 - COFFERDAMS AND EXCAVATION BRACING, AS PER PLAN</t>
  </si>
  <si>
    <t xml:space="preserve">Lump sum </t>
  </si>
  <si>
    <t>CADD area, from wall elev =</t>
  </si>
  <si>
    <t>Depth perp. to wall, from</t>
  </si>
  <si>
    <t>2. Front wall panel and shaft void zone</t>
  </si>
  <si>
    <t>(bot ftg to lower of ex. grade or top/shaft)</t>
  </si>
  <si>
    <t>Effec. depth perp. to wall</t>
  </si>
  <si>
    <t xml:space="preserve">3. Front of wall add'l area from subgrade to bot </t>
  </si>
  <si>
    <t xml:space="preserve">    ftg. and 1' offset to front edge footing</t>
  </si>
  <si>
    <t>Depth perp. to wall</t>
  </si>
  <si>
    <t>ITEM 511 - CLASS QC2 CONCRETE WITH QC/QA, BRIDGE DECK (PARAPET), AS PER PLAN</t>
  </si>
  <si>
    <t>sf, knee wall</t>
  </si>
  <si>
    <t>Section 1</t>
  </si>
  <si>
    <t>x-sec area =</t>
  </si>
  <si>
    <t xml:space="preserve"> cf</t>
  </si>
  <si>
    <t>less embed partial shaft vol. =</t>
  </si>
  <si>
    <t xml:space="preserve">net volume = </t>
  </si>
  <si>
    <t>Section 2</t>
  </si>
  <si>
    <t xml:space="preserve">volume = </t>
  </si>
  <si>
    <t>ITEM 511 - CLASS QC1 CONCRETE, MISC.: DRILLED SHAFT CAP</t>
  </si>
  <si>
    <t>Upper portion over 60" shafts</t>
  </si>
  <si>
    <t>Lower portion over 60" shafts</t>
  </si>
  <si>
    <t>ft, approx. avg.</t>
  </si>
  <si>
    <t xml:space="preserve">perimeter = </t>
  </si>
  <si>
    <t>sf, area top knee wall to top D-wall</t>
  </si>
  <si>
    <t xml:space="preserve">strip width = </t>
  </si>
  <si>
    <t xml:space="preserve">cap jt. lengths = </t>
  </si>
  <si>
    <t xml:space="preserve">number of cap jt's = </t>
  </si>
  <si>
    <t xml:space="preserve">long. jt length = </t>
  </si>
  <si>
    <t xml:space="preserve"> ft</t>
  </si>
  <si>
    <t xml:space="preserve">cap joint area  = </t>
  </si>
  <si>
    <t xml:space="preserve">Panel joint cumulative height  = </t>
  </si>
  <si>
    <t>Panel width</t>
  </si>
  <si>
    <t>Top area =</t>
  </si>
  <si>
    <t>Bot area =</t>
  </si>
  <si>
    <t xml:space="preserve">ft </t>
  </si>
  <si>
    <t>ITEM 518 - 6" NON-PERFORATED CORRUGATED PLASTIC PIPE, INCLUDING SPECIALS</t>
  </si>
  <si>
    <t>SPECIAL 530E00600 - STRUCTURES - PRECAST FACADE PANELS</t>
  </si>
  <si>
    <t xml:space="preserve"> sf (see 4W16 Drilled Shaft &amp; Precast Panel Elevations.xlsx)</t>
  </si>
  <si>
    <t>ITEM 607- FENCE, MISC.: WALL MOUNTED TYPE A (W/ VANDAL MESH)</t>
  </si>
  <si>
    <t>1. Shaft Cap portion below exist. Ground</t>
  </si>
  <si>
    <t>ft (panels 8, 16, 24, 32)</t>
  </si>
  <si>
    <t xml:space="preserve"> ft (see 4W17 Drilled Shaft &amp; Precast Panel Elevations.xlsx)</t>
  </si>
  <si>
    <t>Misc. excavation bracing as required</t>
  </si>
  <si>
    <r>
      <t xml:space="preserve">ft  </t>
    </r>
    <r>
      <rPr>
        <b/>
        <sz val="10"/>
        <color rgb="FFFF0000"/>
        <rFont val="Arial"/>
        <family val="2"/>
      </rPr>
      <t>&gt;&gt; NOT USED</t>
    </r>
  </si>
  <si>
    <t>(wall face to 1' behind cap)</t>
  </si>
  <si>
    <t>Top length =</t>
  </si>
  <si>
    <t xml:space="preserve">Bot length = </t>
  </si>
  <si>
    <t xml:space="preserve">Top length = </t>
  </si>
  <si>
    <t xml:space="preserve">Bot.length = </t>
  </si>
  <si>
    <t>Additional width over shafts 58 thru 60, Section B</t>
  </si>
  <si>
    <t>SPECIAL 524 - DRILLED SHAFTS, 48" DIAMETER, ABOVE BEDROCK WITH QC/QA, AS PER PLAN</t>
  </si>
  <si>
    <t>SPECIAL 524 - DRILLED SHAFTS, 60" DIAMETER, ABOVE BEDROCK WITH QC/QA</t>
  </si>
  <si>
    <t>DRILLED SHAFTS, 48" DIAMETER, ABOVE BEDROCK WITH QC/QA, AS PER PLAN</t>
  </si>
  <si>
    <t>RFV</t>
  </si>
  <si>
    <t>TJW</t>
  </si>
  <si>
    <t>EACH</t>
  </si>
  <si>
    <t>THERMAL INTEGRITY PROFILING (TIP) TEST</t>
  </si>
  <si>
    <t>PARTICIPATION</t>
  </si>
  <si>
    <t>Estimated Quantities - Final Tracings</t>
  </si>
  <si>
    <t>ITEM 894-THERMAL INTEGRITY PROFILING (TIP) TEST</t>
  </si>
  <si>
    <t>ea</t>
  </si>
  <si>
    <t>01/IMS/04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</si>
</sst>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6" formatCode="&quot;$&quot;#,##0_);[Red]\(&quot;$&quot;#,##0\)"/>
    <numFmt numFmtId="44" formatCode="_(&quot;$&quot;* #,##0.00_);_(&quot;$&quot;* \(#,##0.00\);_(&quot;$&quot;* &quot;-&quot;??_);_(@_)"/>
    <numFmt numFmtId="164" formatCode="m/d/yy;@"/>
    <numFmt numFmtId="165" formatCode="0.000"/>
    <numFmt numFmtId="166" formatCode="&quot;$&quot;#,##0"/>
  </numFmts>
  <fonts count="10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u/>
      <sz val="10"/>
      <name val="Arial"/>
      <family val="2"/>
    </font>
    <font>
      <b/>
      <u/>
      <sz val="10"/>
      <color indexed="12"/>
      <name val="Arial"/>
      <family val="2"/>
    </font>
    <font>
      <b/>
      <sz val="10"/>
      <color indexed="12"/>
      <name val="Arial"/>
      <family val="2"/>
    </font>
    <font>
      <b/>
      <u/>
      <sz val="10"/>
      <color theme="1"/>
      <name val="Arial"/>
      <family val="2"/>
    </font>
    <font>
      <b/>
      <sz val="10"/>
      <color rgb="FFFF0000"/>
      <name val="Arial"/>
      <family val="2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rgb="FFFFFFCC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44" fontId="9" fillId="0" borderId="0" applyFont="0" applyFill="0" applyBorder="0" applyAlignment="0" applyProtection="0"/>
  </cellStyleXfs>
  <cellXfs count="63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 indent="1"/>
    </xf>
    <xf numFmtId="0" fontId="3" fillId="0" borderId="0" xfId="0" applyFont="1"/>
    <xf numFmtId="0" fontId="3" fillId="0" borderId="0" xfId="0" applyFont="1" applyAlignment="1">
      <alignment horizontal="left"/>
    </xf>
    <xf numFmtId="0" fontId="2" fillId="0" borderId="0" xfId="0" applyFont="1"/>
    <xf numFmtId="0" fontId="2" fillId="0" borderId="0" xfId="0" applyFont="1" applyAlignment="1">
      <alignment horizontal="left"/>
    </xf>
    <xf numFmtId="164" fontId="0" fillId="0" borderId="0" xfId="0" applyNumberFormat="1" applyAlignment="1">
      <alignment horizontal="center" vertical="center"/>
    </xf>
    <xf numFmtId="0" fontId="4" fillId="0" borderId="0" xfId="0" applyFont="1"/>
    <xf numFmtId="0" fontId="3" fillId="0" borderId="0" xfId="0" applyFont="1" applyAlignment="1">
      <alignment horizontal="right"/>
    </xf>
    <xf numFmtId="0" fontId="0" fillId="0" borderId="0" xfId="0" applyAlignment="1">
      <alignment horizontal="left"/>
    </xf>
    <xf numFmtId="2" fontId="0" fillId="0" borderId="0" xfId="0" applyNumberFormat="1"/>
    <xf numFmtId="165" fontId="0" fillId="2" borderId="0" xfId="0" applyNumberFormat="1" applyFill="1" applyAlignment="1">
      <alignment horizontal="right"/>
    </xf>
    <xf numFmtId="3" fontId="5" fillId="0" borderId="0" xfId="0" applyNumberFormat="1" applyFont="1"/>
    <xf numFmtId="0" fontId="6" fillId="0" borderId="0" xfId="0" applyFont="1"/>
    <xf numFmtId="3" fontId="0" fillId="3" borderId="0" xfId="0" applyNumberFormat="1" applyFill="1" applyAlignment="1">
      <alignment horizontal="right"/>
    </xf>
    <xf numFmtId="4" fontId="0" fillId="3" borderId="0" xfId="0" applyNumberFormat="1" applyFill="1" applyAlignment="1">
      <alignment horizontal="right"/>
    </xf>
    <xf numFmtId="0" fontId="1" fillId="0" borderId="3" xfId="0" applyFont="1" applyBorder="1" applyAlignment="1">
      <alignment horizontal="center" vertical="center"/>
    </xf>
    <xf numFmtId="3" fontId="1" fillId="0" borderId="3" xfId="0" applyNumberFormat="1" applyFont="1" applyBorder="1" applyAlignment="1">
      <alignment horizontal="center" vertical="center"/>
    </xf>
    <xf numFmtId="0" fontId="1" fillId="0" borderId="3" xfId="0" applyFont="1" applyBorder="1" applyAlignment="1">
      <alignment horizontal="left" vertical="center" inden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 inden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 indent="1"/>
    </xf>
    <xf numFmtId="3" fontId="1" fillId="0" borderId="1" xfId="0" applyNumberFormat="1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3" fontId="1" fillId="0" borderId="4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left" vertical="center" indent="1"/>
    </xf>
    <xf numFmtId="0" fontId="7" fillId="0" borderId="0" xfId="0" applyFont="1"/>
    <xf numFmtId="2" fontId="0" fillId="2" borderId="0" xfId="0" applyNumberFormat="1" applyFill="1" applyAlignment="1">
      <alignment horizontal="right"/>
    </xf>
    <xf numFmtId="0" fontId="5" fillId="0" borderId="0" xfId="0" applyFont="1"/>
    <xf numFmtId="0" fontId="1" fillId="0" borderId="16" xfId="0" applyFont="1" applyBorder="1" applyAlignment="1">
      <alignment horizontal="center" vertical="center"/>
    </xf>
    <xf numFmtId="3" fontId="1" fillId="0" borderId="17" xfId="0" applyNumberFormat="1" applyFont="1" applyBorder="1" applyAlignment="1">
      <alignment horizontal="center" vertical="center"/>
    </xf>
    <xf numFmtId="0" fontId="1" fillId="0" borderId="18" xfId="0" applyFont="1" applyBorder="1" applyAlignment="1">
      <alignment horizontal="left" vertical="center" indent="1"/>
    </xf>
    <xf numFmtId="44" fontId="0" fillId="0" borderId="0" xfId="1" applyFont="1"/>
    <xf numFmtId="44" fontId="0" fillId="0" borderId="0" xfId="0" applyNumberFormat="1"/>
    <xf numFmtId="6" fontId="0" fillId="0" borderId="0" xfId="0" applyNumberFormat="1"/>
    <xf numFmtId="166" fontId="5" fillId="0" borderId="0" xfId="0" applyNumberFormat="1" applyFont="1"/>
    <xf numFmtId="3" fontId="0" fillId="0" borderId="0" xfId="0" applyNumberFormat="1" applyAlignment="1">
      <alignment horizontal="right"/>
    </xf>
    <xf numFmtId="0" fontId="0" fillId="0" borderId="0" xfId="0" applyAlignment="1">
      <alignment horizontal="right"/>
    </xf>
    <xf numFmtId="0" fontId="1" fillId="0" borderId="8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left" vertical="center" indent="1"/>
    </xf>
    <xf numFmtId="0" fontId="0" fillId="0" borderId="11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15/2015370/FRA/96053/admin/spreadsheets/96053_Sheets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2015/2015370/FRA/96053/structures/wall_4W17/design/4W17%20Drilled%20Shaft%20&amp;%20Precast%20Panel%20Elevation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ADD Sheets"/>
      <sheetName val="Sorted"/>
      <sheetName val="Directions"/>
    </sheetNames>
    <sheetDataSet>
      <sheetData sheetId="0">
        <row r="1888">
          <cell r="A1888">
            <v>301</v>
          </cell>
        </row>
        <row r="1894">
          <cell r="A1894">
            <v>304</v>
          </cell>
        </row>
        <row r="1896">
          <cell r="A1896">
            <v>305</v>
          </cell>
        </row>
      </sheetData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rilled Shaft"/>
      <sheetName val="Precast Panel"/>
    </sheetNames>
    <sheetDataSet>
      <sheetData sheetId="0">
        <row r="6">
          <cell r="L6">
            <v>4346.3333333333276</v>
          </cell>
        </row>
        <row r="7">
          <cell r="L7">
            <v>73.666666666666629</v>
          </cell>
        </row>
      </sheetData>
      <sheetData sheetId="1">
        <row r="3">
          <cell r="L3">
            <v>8450.5439410000017</v>
          </cell>
        </row>
        <row r="15">
          <cell r="J15">
            <v>28.730000000000018</v>
          </cell>
        </row>
        <row r="23">
          <cell r="J23">
            <v>28.200000000000045</v>
          </cell>
        </row>
        <row r="31">
          <cell r="J31">
            <v>27.779999999999973</v>
          </cell>
        </row>
        <row r="39">
          <cell r="J39">
            <v>27.350000000000023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H30"/>
  <sheetViews>
    <sheetView tabSelected="1" zoomScaleNormal="100" workbookViewId="0">
      <selection activeCell="B2" sqref="B2:H30"/>
    </sheetView>
  </sheetViews>
  <sheetFormatPr defaultColWidth="8.85546875" defaultRowHeight="15" x14ac:dyDescent="0.25"/>
  <cols>
    <col min="1" max="1" width="2.140625" style="1" customWidth="1"/>
    <col min="2" max="4" width="13.7109375" style="1" customWidth="1"/>
    <col min="5" max="5" width="18.5703125" style="1" customWidth="1"/>
    <col min="6" max="6" width="13.7109375" style="1" customWidth="1"/>
    <col min="7" max="7" width="87.85546875" style="2" customWidth="1"/>
    <col min="8" max="8" width="11.5703125" style="1" customWidth="1"/>
    <col min="9" max="16384" width="8.85546875" style="1"/>
  </cols>
  <sheetData>
    <row r="1" spans="2:8" ht="15.75" thickBot="1" x14ac:dyDescent="0.3"/>
    <row r="2" spans="2:8" ht="20.100000000000001" customHeight="1" x14ac:dyDescent="0.25">
      <c r="B2" s="58" t="s">
        <v>0</v>
      </c>
      <c r="C2" s="60" t="s">
        <v>1</v>
      </c>
      <c r="D2" s="60" t="s">
        <v>2</v>
      </c>
      <c r="E2" s="55" t="s">
        <v>116</v>
      </c>
      <c r="F2" s="60" t="s">
        <v>3</v>
      </c>
      <c r="G2" s="60" t="s">
        <v>4</v>
      </c>
      <c r="H2" s="56" t="s">
        <v>55</v>
      </c>
    </row>
    <row r="3" spans="2:8" ht="20.100000000000001" customHeight="1" thickBot="1" x14ac:dyDescent="0.3">
      <c r="B3" s="59"/>
      <c r="C3" s="61"/>
      <c r="D3" s="61"/>
      <c r="E3" s="49" t="s">
        <v>120</v>
      </c>
      <c r="F3" s="62"/>
      <c r="G3" s="62"/>
      <c r="H3" s="57"/>
    </row>
    <row r="4" spans="2:8" x14ac:dyDescent="0.25">
      <c r="B4" s="47"/>
      <c r="C4" s="48"/>
      <c r="D4" s="48"/>
      <c r="E4" s="48"/>
      <c r="F4" s="48"/>
      <c r="G4" s="48"/>
      <c r="H4" s="46"/>
    </row>
    <row r="5" spans="2:8" x14ac:dyDescent="0.25">
      <c r="B5" s="25">
        <v>503</v>
      </c>
      <c r="C5" s="20">
        <v>11100</v>
      </c>
      <c r="D5" s="20"/>
      <c r="E5" s="20"/>
      <c r="F5" s="20" t="s">
        <v>52</v>
      </c>
      <c r="G5" s="21" t="s">
        <v>53</v>
      </c>
      <c r="H5" s="26"/>
    </row>
    <row r="6" spans="2:8" x14ac:dyDescent="0.25">
      <c r="B6" s="25">
        <v>503</v>
      </c>
      <c r="C6" s="22">
        <v>21100</v>
      </c>
      <c r="D6" s="24">
        <f>'4W17'!E25</f>
        <v>1065</v>
      </c>
      <c r="E6" s="24">
        <f>D6</f>
        <v>1065</v>
      </c>
      <c r="F6" s="22" t="s">
        <v>5</v>
      </c>
      <c r="G6" s="23" t="s">
        <v>6</v>
      </c>
      <c r="H6" s="27"/>
    </row>
    <row r="7" spans="2:8" x14ac:dyDescent="0.25">
      <c r="B7" s="25"/>
      <c r="C7" s="22"/>
      <c r="D7" s="24"/>
      <c r="E7" s="24"/>
      <c r="F7" s="22"/>
      <c r="G7" s="23"/>
      <c r="H7" s="27"/>
    </row>
    <row r="8" spans="2:8" x14ac:dyDescent="0.25">
      <c r="B8" s="25">
        <v>509</v>
      </c>
      <c r="C8" s="22">
        <v>10000</v>
      </c>
      <c r="D8" s="24">
        <f>'4W17'!E31</f>
        <v>29151</v>
      </c>
      <c r="E8" s="24">
        <f>D8</f>
        <v>29151</v>
      </c>
      <c r="F8" s="22" t="s">
        <v>8</v>
      </c>
      <c r="G8" s="23" t="s">
        <v>9</v>
      </c>
      <c r="H8" s="27"/>
    </row>
    <row r="9" spans="2:8" x14ac:dyDescent="0.25">
      <c r="B9" s="25"/>
      <c r="C9" s="22"/>
      <c r="D9" s="24"/>
      <c r="E9" s="24"/>
      <c r="F9" s="22"/>
      <c r="G9" s="23"/>
      <c r="H9" s="27"/>
    </row>
    <row r="10" spans="2:8" x14ac:dyDescent="0.25">
      <c r="B10" s="25">
        <v>511</v>
      </c>
      <c r="C10" s="22">
        <v>34451</v>
      </c>
      <c r="D10" s="24">
        <f>'4W17'!E38</f>
        <v>43</v>
      </c>
      <c r="E10" s="24">
        <f>D10</f>
        <v>43</v>
      </c>
      <c r="F10" s="22" t="s">
        <v>5</v>
      </c>
      <c r="G10" s="23" t="s">
        <v>43</v>
      </c>
      <c r="H10" s="27">
        <f>'[1]CADD Sheets'!$A$1888</f>
        <v>301</v>
      </c>
    </row>
    <row r="11" spans="2:8" x14ac:dyDescent="0.25">
      <c r="B11" s="37">
        <v>511</v>
      </c>
      <c r="C11" s="22">
        <v>46512</v>
      </c>
      <c r="D11" s="38">
        <f>'4W17'!E52</f>
        <v>67</v>
      </c>
      <c r="E11" s="24">
        <f>D11</f>
        <v>67</v>
      </c>
      <c r="F11" s="22" t="s">
        <v>5</v>
      </c>
      <c r="G11" s="39" t="s">
        <v>56</v>
      </c>
      <c r="H11" s="27"/>
    </row>
    <row r="12" spans="2:8" x14ac:dyDescent="0.25">
      <c r="B12" s="25">
        <v>511</v>
      </c>
      <c r="C12" s="22">
        <v>53010</v>
      </c>
      <c r="D12" s="24">
        <f>'4W17'!E70</f>
        <v>336</v>
      </c>
      <c r="E12" s="24">
        <f>D12</f>
        <v>336</v>
      </c>
      <c r="F12" s="22" t="s">
        <v>5</v>
      </c>
      <c r="G12" s="23" t="s">
        <v>54</v>
      </c>
      <c r="H12" s="27">
        <f>'[1]CADD Sheets'!$A$1894</f>
        <v>304</v>
      </c>
    </row>
    <row r="13" spans="2:8" x14ac:dyDescent="0.25">
      <c r="B13" s="25"/>
      <c r="C13" s="22"/>
      <c r="D13" s="24"/>
      <c r="E13" s="24"/>
      <c r="F13" s="22"/>
      <c r="G13" s="23"/>
      <c r="H13" s="27"/>
    </row>
    <row r="14" spans="2:8" x14ac:dyDescent="0.25">
      <c r="B14" s="25">
        <v>512</v>
      </c>
      <c r="C14" s="22">
        <v>10050</v>
      </c>
      <c r="D14" s="24">
        <f>'4W17'!E77</f>
        <v>191</v>
      </c>
      <c r="E14" s="24">
        <f>D14</f>
        <v>191</v>
      </c>
      <c r="F14" s="22" t="s">
        <v>10</v>
      </c>
      <c r="G14" s="23" t="s">
        <v>45</v>
      </c>
      <c r="H14" s="27"/>
    </row>
    <row r="15" spans="2:8" x14ac:dyDescent="0.25">
      <c r="B15" s="25">
        <v>512</v>
      </c>
      <c r="C15" s="22">
        <v>10100</v>
      </c>
      <c r="D15" s="24">
        <f>'4W17'!E83</f>
        <v>826</v>
      </c>
      <c r="E15" s="24">
        <f>D15</f>
        <v>826</v>
      </c>
      <c r="F15" s="22" t="s">
        <v>10</v>
      </c>
      <c r="G15" s="23" t="s">
        <v>14</v>
      </c>
      <c r="H15" s="27"/>
    </row>
    <row r="16" spans="2:8" x14ac:dyDescent="0.25">
      <c r="B16" s="25">
        <v>512</v>
      </c>
      <c r="C16" s="22">
        <v>33000</v>
      </c>
      <c r="D16" s="24">
        <f>'4W17'!E92</f>
        <v>121</v>
      </c>
      <c r="E16" s="24">
        <f>D16</f>
        <v>121</v>
      </c>
      <c r="F16" s="22" t="s">
        <v>10</v>
      </c>
      <c r="G16" s="23" t="s">
        <v>48</v>
      </c>
      <c r="H16" s="27"/>
    </row>
    <row r="17" spans="2:8" x14ac:dyDescent="0.25">
      <c r="B17" s="25"/>
      <c r="C17" s="22"/>
      <c r="D17" s="24"/>
      <c r="E17" s="24"/>
      <c r="F17" s="22"/>
      <c r="G17" s="23"/>
      <c r="H17" s="27"/>
    </row>
    <row r="18" spans="2:8" x14ac:dyDescent="0.25">
      <c r="B18" s="25">
        <v>516</v>
      </c>
      <c r="C18" s="22">
        <v>13600</v>
      </c>
      <c r="D18" s="24">
        <f>'4W17'!E102</f>
        <v>302</v>
      </c>
      <c r="E18" s="24">
        <f>D18</f>
        <v>302</v>
      </c>
      <c r="F18" s="22" t="s">
        <v>7</v>
      </c>
      <c r="G18" s="23" t="s">
        <v>15</v>
      </c>
      <c r="H18" s="27"/>
    </row>
    <row r="19" spans="2:8" x14ac:dyDescent="0.25">
      <c r="B19" s="25"/>
      <c r="C19" s="22"/>
      <c r="D19" s="24"/>
      <c r="E19" s="24"/>
      <c r="F19" s="22"/>
      <c r="G19" s="23"/>
      <c r="H19" s="27"/>
    </row>
    <row r="20" spans="2:8" x14ac:dyDescent="0.25">
      <c r="B20" s="25">
        <v>518</v>
      </c>
      <c r="C20" s="22">
        <v>21200</v>
      </c>
      <c r="D20" s="24">
        <f>'4W17'!E111</f>
        <v>118</v>
      </c>
      <c r="E20" s="24">
        <f>D20</f>
        <v>118</v>
      </c>
      <c r="F20" s="22" t="s">
        <v>5</v>
      </c>
      <c r="G20" s="23" t="s">
        <v>13</v>
      </c>
      <c r="H20" s="27"/>
    </row>
    <row r="21" spans="2:8" x14ac:dyDescent="0.25">
      <c r="B21" s="25">
        <v>518</v>
      </c>
      <c r="C21" s="22">
        <v>40000</v>
      </c>
      <c r="D21" s="24">
        <f>'4W17'!E118</f>
        <v>442</v>
      </c>
      <c r="E21" s="24">
        <f>D21</f>
        <v>442</v>
      </c>
      <c r="F21" s="22" t="s">
        <v>11</v>
      </c>
      <c r="G21" s="23" t="s">
        <v>16</v>
      </c>
      <c r="H21" s="27"/>
    </row>
    <row r="22" spans="2:8" x14ac:dyDescent="0.25">
      <c r="B22" s="25"/>
      <c r="C22" s="22"/>
      <c r="D22" s="24"/>
      <c r="E22" s="24"/>
      <c r="F22" s="22"/>
      <c r="G22" s="23"/>
      <c r="H22" s="27"/>
    </row>
    <row r="23" spans="2:8" x14ac:dyDescent="0.25">
      <c r="B23" s="25">
        <v>524</v>
      </c>
      <c r="C23" s="22">
        <v>95453</v>
      </c>
      <c r="D23" s="24">
        <f>'4W17'!E130</f>
        <v>74</v>
      </c>
      <c r="E23" s="24">
        <f>D23</f>
        <v>74</v>
      </c>
      <c r="F23" s="22" t="s">
        <v>11</v>
      </c>
      <c r="G23" s="23" t="s">
        <v>111</v>
      </c>
      <c r="H23" s="27">
        <f>'[1]CADD Sheets'!$A$1894</f>
        <v>304</v>
      </c>
    </row>
    <row r="24" spans="2:8" x14ac:dyDescent="0.25">
      <c r="B24" s="25">
        <v>524</v>
      </c>
      <c r="C24" s="22">
        <v>95472</v>
      </c>
      <c r="D24" s="24">
        <f>'4W17'!E136</f>
        <v>4347</v>
      </c>
      <c r="E24" s="24">
        <f>D24</f>
        <v>4347</v>
      </c>
      <c r="F24" s="22" t="s">
        <v>11</v>
      </c>
      <c r="G24" s="23" t="s">
        <v>49</v>
      </c>
      <c r="H24" s="27">
        <f>'[1]CADD Sheets'!$A$1894</f>
        <v>304</v>
      </c>
    </row>
    <row r="25" spans="2:8" x14ac:dyDescent="0.25">
      <c r="B25" s="25"/>
      <c r="C25" s="22"/>
      <c r="D25" s="24"/>
      <c r="E25" s="24"/>
      <c r="F25" s="22"/>
      <c r="G25" s="23"/>
      <c r="H25" s="27"/>
    </row>
    <row r="26" spans="2:8" x14ac:dyDescent="0.25">
      <c r="B26" s="25" t="s">
        <v>12</v>
      </c>
      <c r="C26" s="22">
        <v>53000600</v>
      </c>
      <c r="D26" s="24">
        <f>'4W17'!E142</f>
        <v>8451</v>
      </c>
      <c r="E26" s="24">
        <f>D26</f>
        <v>8451</v>
      </c>
      <c r="F26" s="22" t="s">
        <v>7</v>
      </c>
      <c r="G26" s="23" t="s">
        <v>42</v>
      </c>
      <c r="H26" s="27">
        <f>'[1]CADD Sheets'!$A$1896</f>
        <v>305</v>
      </c>
    </row>
    <row r="27" spans="2:8" x14ac:dyDescent="0.25">
      <c r="B27" s="28"/>
      <c r="C27" s="17"/>
      <c r="D27" s="18"/>
      <c r="E27" s="18"/>
      <c r="F27" s="17"/>
      <c r="G27" s="19"/>
      <c r="H27" s="29"/>
    </row>
    <row r="28" spans="2:8" x14ac:dyDescent="0.25">
      <c r="B28" s="25">
        <v>607</v>
      </c>
      <c r="C28" s="22">
        <v>98000</v>
      </c>
      <c r="D28" s="24">
        <f>'4W17'!E148</f>
        <v>303</v>
      </c>
      <c r="E28" s="24">
        <f>D28</f>
        <v>303</v>
      </c>
      <c r="F28" s="22" t="s">
        <v>11</v>
      </c>
      <c r="G28" s="23" t="s">
        <v>44</v>
      </c>
      <c r="H28" s="27">
        <f>'[1]CADD Sheets'!$A$1888</f>
        <v>301</v>
      </c>
    </row>
    <row r="29" spans="2:8" x14ac:dyDescent="0.25">
      <c r="B29" s="52"/>
      <c r="C29" s="50"/>
      <c r="D29" s="50"/>
      <c r="E29" s="50"/>
      <c r="F29" s="50"/>
      <c r="G29" s="51"/>
      <c r="H29" s="53"/>
    </row>
    <row r="30" spans="2:8" ht="15.75" thickBot="1" x14ac:dyDescent="0.3">
      <c r="B30" s="30">
        <v>894</v>
      </c>
      <c r="C30" s="31">
        <v>10000</v>
      </c>
      <c r="D30" s="32">
        <v>60</v>
      </c>
      <c r="E30" s="32">
        <f>D30</f>
        <v>60</v>
      </c>
      <c r="F30" s="31" t="s">
        <v>114</v>
      </c>
      <c r="G30" s="33" t="s">
        <v>115</v>
      </c>
      <c r="H30" s="54"/>
    </row>
  </sheetData>
  <sortState xmlns:xlrd2="http://schemas.microsoft.com/office/spreadsheetml/2017/richdata2" ref="B89:G95">
    <sortCondition ref="B89"/>
  </sortState>
  <mergeCells count="6">
    <mergeCell ref="H2:H3"/>
    <mergeCell ref="B2:B3"/>
    <mergeCell ref="C2:C3"/>
    <mergeCell ref="D2:D3"/>
    <mergeCell ref="F2:F3"/>
    <mergeCell ref="G2:G3"/>
  </mergeCells>
  <pageMargins left="0.7" right="0.7" top="0.75" bottom="0.75" header="0.3" footer="0.3"/>
  <pageSetup scale="78" orientation="landscape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155"/>
  <sheetViews>
    <sheetView view="pageBreakPreview" topLeftCell="A16" zoomScaleNormal="100" zoomScaleSheetLayoutView="100" workbookViewId="0">
      <selection activeCell="D29" sqref="D29"/>
    </sheetView>
  </sheetViews>
  <sheetFormatPr defaultColWidth="8.85546875" defaultRowHeight="15" x14ac:dyDescent="0.25"/>
  <cols>
    <col min="2" max="2" width="9.140625" customWidth="1"/>
    <col min="13" max="13" width="11.140625" bestFit="1" customWidth="1"/>
  </cols>
  <sheetData>
    <row r="1" spans="1:13" x14ac:dyDescent="0.25">
      <c r="A1" s="3" t="s">
        <v>17</v>
      </c>
      <c r="B1" s="4" t="s">
        <v>57</v>
      </c>
      <c r="C1" s="3"/>
      <c r="D1" s="5"/>
      <c r="F1" s="5" t="s">
        <v>18</v>
      </c>
      <c r="G1" s="5" t="s">
        <v>112</v>
      </c>
    </row>
    <row r="2" spans="1:13" x14ac:dyDescent="0.25">
      <c r="A2" t="s">
        <v>19</v>
      </c>
      <c r="B2" s="6" t="s">
        <v>117</v>
      </c>
      <c r="F2" s="5" t="s">
        <v>20</v>
      </c>
      <c r="G2" t="s">
        <v>113</v>
      </c>
    </row>
    <row r="3" spans="1:13" x14ac:dyDescent="0.25">
      <c r="A3" s="5" t="s">
        <v>21</v>
      </c>
      <c r="B3" s="7">
        <v>44753</v>
      </c>
    </row>
    <row r="4" spans="1:13" x14ac:dyDescent="0.25">
      <c r="A4" s="5"/>
      <c r="B4" s="7"/>
    </row>
    <row r="5" spans="1:13" x14ac:dyDescent="0.25">
      <c r="A5" s="34" t="s">
        <v>58</v>
      </c>
      <c r="B5" s="7"/>
      <c r="J5" s="11"/>
      <c r="L5" s="40"/>
      <c r="M5" s="41"/>
    </row>
    <row r="6" spans="1:13" x14ac:dyDescent="0.25">
      <c r="A6" s="5" t="s">
        <v>101</v>
      </c>
      <c r="L6" s="40"/>
      <c r="M6" s="41"/>
    </row>
    <row r="7" spans="1:13" x14ac:dyDescent="0.25">
      <c r="A7" s="8"/>
      <c r="D7" s="9" t="s">
        <v>59</v>
      </c>
      <c r="E7" s="43">
        <v>20000</v>
      </c>
      <c r="F7" s="42"/>
      <c r="M7" s="41"/>
    </row>
    <row r="8" spans="1:13" x14ac:dyDescent="0.25">
      <c r="M8" s="41"/>
    </row>
    <row r="9" spans="1:13" x14ac:dyDescent="0.25">
      <c r="A9" s="8" t="s">
        <v>22</v>
      </c>
    </row>
    <row r="10" spans="1:13" x14ac:dyDescent="0.25">
      <c r="A10" t="s">
        <v>98</v>
      </c>
    </row>
    <row r="11" spans="1:13" x14ac:dyDescent="0.25">
      <c r="B11" s="10" t="s">
        <v>60</v>
      </c>
      <c r="E11" s="35">
        <v>1361.1</v>
      </c>
      <c r="F11" s="5" t="s">
        <v>31</v>
      </c>
    </row>
    <row r="12" spans="1:13" x14ac:dyDescent="0.25">
      <c r="B12" s="10" t="s">
        <v>61</v>
      </c>
      <c r="E12" s="12">
        <v>7.5</v>
      </c>
      <c r="F12" s="5" t="s">
        <v>23</v>
      </c>
    </row>
    <row r="13" spans="1:13" x14ac:dyDescent="0.25">
      <c r="B13" t="s">
        <v>103</v>
      </c>
    </row>
    <row r="15" spans="1:13" x14ac:dyDescent="0.25">
      <c r="A15" t="s">
        <v>62</v>
      </c>
    </row>
    <row r="16" spans="1:13" x14ac:dyDescent="0.25">
      <c r="B16" s="10" t="s">
        <v>60</v>
      </c>
      <c r="E16" s="35">
        <v>7898</v>
      </c>
      <c r="F16" s="5" t="s">
        <v>31</v>
      </c>
    </row>
    <row r="17" spans="1:6" x14ac:dyDescent="0.25">
      <c r="B17" t="s">
        <v>63</v>
      </c>
    </row>
    <row r="18" spans="1:6" x14ac:dyDescent="0.25">
      <c r="B18" s="10" t="s">
        <v>64</v>
      </c>
      <c r="E18" s="35">
        <v>1.96</v>
      </c>
      <c r="F18" s="5" t="s">
        <v>23</v>
      </c>
    </row>
    <row r="19" spans="1:6" x14ac:dyDescent="0.25">
      <c r="B19" s="10"/>
      <c r="F19" s="5"/>
    </row>
    <row r="20" spans="1:6" x14ac:dyDescent="0.25">
      <c r="A20" t="s">
        <v>65</v>
      </c>
      <c r="B20" s="10"/>
      <c r="F20" s="5"/>
    </row>
    <row r="21" spans="1:6" x14ac:dyDescent="0.25">
      <c r="A21" t="s">
        <v>66</v>
      </c>
    </row>
    <row r="22" spans="1:6" x14ac:dyDescent="0.25">
      <c r="B22" s="10" t="s">
        <v>60</v>
      </c>
      <c r="E22" s="35">
        <v>1824.4</v>
      </c>
      <c r="F22" s="5" t="s">
        <v>31</v>
      </c>
    </row>
    <row r="23" spans="1:6" x14ac:dyDescent="0.25">
      <c r="B23" s="10" t="s">
        <v>67</v>
      </c>
      <c r="E23" s="35">
        <v>1.67</v>
      </c>
      <c r="F23" s="5" t="s">
        <v>23</v>
      </c>
    </row>
    <row r="24" spans="1:6" x14ac:dyDescent="0.25">
      <c r="B24" s="10"/>
      <c r="F24" s="5"/>
    </row>
    <row r="25" spans="1:6" x14ac:dyDescent="0.25">
      <c r="D25" s="9" t="s">
        <v>24</v>
      </c>
      <c r="E25" s="13">
        <f>ROUNDUP((E11*E12+E16*E18+E22*E23)/27,0)</f>
        <v>1065</v>
      </c>
      <c r="F25" s="14" t="s">
        <v>25</v>
      </c>
    </row>
    <row r="26" spans="1:6" x14ac:dyDescent="0.25">
      <c r="D26" s="9"/>
      <c r="E26" s="13"/>
      <c r="F26" s="14"/>
    </row>
    <row r="27" spans="1:6" x14ac:dyDescent="0.25">
      <c r="A27" s="8" t="s">
        <v>26</v>
      </c>
      <c r="D27" s="9"/>
      <c r="E27" s="36"/>
    </row>
    <row r="29" spans="1:6" x14ac:dyDescent="0.25">
      <c r="B29" s="6" t="s">
        <v>27</v>
      </c>
      <c r="D29" s="44">
        <v>29151</v>
      </c>
      <c r="E29" s="5" t="s">
        <v>28</v>
      </c>
    </row>
    <row r="31" spans="1:6" x14ac:dyDescent="0.25">
      <c r="D31" s="9" t="s">
        <v>29</v>
      </c>
      <c r="E31" s="13">
        <f>SUM(D29:D29)</f>
        <v>29151</v>
      </c>
      <c r="F31" s="14" t="s">
        <v>28</v>
      </c>
    </row>
    <row r="33" spans="1:6" x14ac:dyDescent="0.25">
      <c r="A33" s="8" t="s">
        <v>68</v>
      </c>
    </row>
    <row r="34" spans="1:6" x14ac:dyDescent="0.25">
      <c r="A34" s="5"/>
    </row>
    <row r="35" spans="1:6" x14ac:dyDescent="0.25">
      <c r="A35" s="8"/>
      <c r="B35" t="s">
        <v>30</v>
      </c>
      <c r="C35" s="16">
        <f>1.4167*2.6667</f>
        <v>3.7779138900000002</v>
      </c>
      <c r="D35" t="s">
        <v>69</v>
      </c>
    </row>
    <row r="36" spans="1:6" x14ac:dyDescent="0.25">
      <c r="A36" s="8"/>
      <c r="B36" t="s">
        <v>32</v>
      </c>
      <c r="C36" s="11">
        <f>302+1.875/12</f>
        <v>302.15625</v>
      </c>
      <c r="D36" t="s">
        <v>23</v>
      </c>
    </row>
    <row r="37" spans="1:6" x14ac:dyDescent="0.25">
      <c r="A37" s="8"/>
    </row>
    <row r="38" spans="1:6" x14ac:dyDescent="0.25">
      <c r="A38" s="8"/>
      <c r="D38" s="9" t="s">
        <v>29</v>
      </c>
      <c r="E38" s="13">
        <f>ROUNDUP((C35*C36)/27,0)</f>
        <v>43</v>
      </c>
      <c r="F38" s="14" t="s">
        <v>25</v>
      </c>
    </row>
    <row r="39" spans="1:6" x14ac:dyDescent="0.25">
      <c r="A39" s="8"/>
    </row>
    <row r="40" spans="1:6" x14ac:dyDescent="0.25">
      <c r="A40" s="8" t="s">
        <v>41</v>
      </c>
    </row>
    <row r="41" spans="1:6" x14ac:dyDescent="0.25">
      <c r="A41" s="5"/>
    </row>
    <row r="42" spans="1:6" x14ac:dyDescent="0.25">
      <c r="A42" s="8"/>
      <c r="B42" t="s">
        <v>70</v>
      </c>
      <c r="C42" t="s">
        <v>71</v>
      </c>
      <c r="E42" s="16">
        <f>((8+11+7+13)*24+20*6)/144</f>
        <v>7.333333333333333</v>
      </c>
      <c r="F42" t="s">
        <v>31</v>
      </c>
    </row>
    <row r="43" spans="1:6" x14ac:dyDescent="0.25">
      <c r="A43" s="8"/>
      <c r="C43" t="s">
        <v>32</v>
      </c>
      <c r="E43" s="16">
        <f>C36</f>
        <v>302.15625</v>
      </c>
      <c r="F43" t="s">
        <v>23</v>
      </c>
    </row>
    <row r="44" spans="1:6" x14ac:dyDescent="0.25">
      <c r="A44" s="8"/>
      <c r="E44">
        <f>E42*E43</f>
        <v>2215.8125</v>
      </c>
      <c r="F44" t="s">
        <v>72</v>
      </c>
    </row>
    <row r="45" spans="1:6" x14ac:dyDescent="0.25">
      <c r="A45" s="8"/>
      <c r="B45" t="s">
        <v>73</v>
      </c>
      <c r="E45" s="16">
        <f>-3.13*2.5*55</f>
        <v>-430.37499999999994</v>
      </c>
      <c r="F45" t="s">
        <v>34</v>
      </c>
    </row>
    <row r="46" spans="1:6" x14ac:dyDescent="0.25">
      <c r="A46" s="8"/>
      <c r="C46" t="s">
        <v>74</v>
      </c>
      <c r="E46" s="11">
        <f>E42*E43+E45</f>
        <v>1785.4375</v>
      </c>
      <c r="F46" t="s">
        <v>34</v>
      </c>
    </row>
    <row r="47" spans="1:6" x14ac:dyDescent="0.25">
      <c r="A47" s="8"/>
    </row>
    <row r="48" spans="1:6" x14ac:dyDescent="0.25">
      <c r="B48" t="s">
        <v>75</v>
      </c>
      <c r="C48" t="s">
        <v>71</v>
      </c>
      <c r="E48" s="16">
        <v>0</v>
      </c>
      <c r="F48" t="s">
        <v>31</v>
      </c>
    </row>
    <row r="49" spans="1:6" x14ac:dyDescent="0.25">
      <c r="C49" t="s">
        <v>32</v>
      </c>
      <c r="E49" s="16">
        <v>0</v>
      </c>
      <c r="F49" t="s">
        <v>23</v>
      </c>
    </row>
    <row r="50" spans="1:6" x14ac:dyDescent="0.25">
      <c r="C50" t="s">
        <v>76</v>
      </c>
      <c r="E50" s="11">
        <f>E48*E49*2</f>
        <v>0</v>
      </c>
      <c r="F50" t="s">
        <v>34</v>
      </c>
    </row>
    <row r="52" spans="1:6" x14ac:dyDescent="0.25">
      <c r="D52" s="9" t="s">
        <v>29</v>
      </c>
      <c r="E52" s="13">
        <f>ROUNDUP((SUM(E46,E50))/27,0)</f>
        <v>67</v>
      </c>
      <c r="F52" s="14" t="s">
        <v>25</v>
      </c>
    </row>
    <row r="54" spans="1:6" x14ac:dyDescent="0.25">
      <c r="A54" s="8" t="s">
        <v>77</v>
      </c>
    </row>
    <row r="55" spans="1:6" x14ac:dyDescent="0.25">
      <c r="B55" s="5" t="s">
        <v>78</v>
      </c>
    </row>
    <row r="56" spans="1:6" x14ac:dyDescent="0.25">
      <c r="A56" s="8"/>
      <c r="B56" t="s">
        <v>33</v>
      </c>
      <c r="E56" s="16">
        <v>3</v>
      </c>
      <c r="F56" t="s">
        <v>23</v>
      </c>
    </row>
    <row r="57" spans="1:6" x14ac:dyDescent="0.25">
      <c r="A57" s="8"/>
      <c r="B57" t="s">
        <v>51</v>
      </c>
      <c r="E57" s="16">
        <v>3</v>
      </c>
      <c r="F57" t="s">
        <v>23</v>
      </c>
    </row>
    <row r="58" spans="1:6" x14ac:dyDescent="0.25">
      <c r="A58" s="8"/>
      <c r="B58" t="s">
        <v>32</v>
      </c>
      <c r="E58" s="16">
        <v>302.16000000000003</v>
      </c>
      <c r="F58" t="s">
        <v>23</v>
      </c>
    </row>
    <row r="59" spans="1:6" x14ac:dyDescent="0.25">
      <c r="A59" s="8"/>
      <c r="E59" s="11"/>
    </row>
    <row r="60" spans="1:6" x14ac:dyDescent="0.25">
      <c r="B60" s="5" t="s">
        <v>79</v>
      </c>
    </row>
    <row r="61" spans="1:6" x14ac:dyDescent="0.25">
      <c r="A61" s="8"/>
      <c r="B61" t="s">
        <v>33</v>
      </c>
      <c r="E61" s="16">
        <v>4.08</v>
      </c>
      <c r="F61" t="s">
        <v>80</v>
      </c>
    </row>
    <row r="62" spans="1:6" x14ac:dyDescent="0.25">
      <c r="A62" s="8"/>
      <c r="B62" t="s">
        <v>51</v>
      </c>
      <c r="E62" s="16">
        <v>5.0833000000000004</v>
      </c>
      <c r="F62" t="s">
        <v>23</v>
      </c>
    </row>
    <row r="63" spans="1:6" x14ac:dyDescent="0.25">
      <c r="A63" s="8"/>
      <c r="B63" t="s">
        <v>32</v>
      </c>
      <c r="E63" s="16">
        <f>E58</f>
        <v>302.16000000000003</v>
      </c>
      <c r="F63" t="s">
        <v>23</v>
      </c>
    </row>
    <row r="64" spans="1:6" x14ac:dyDescent="0.25">
      <c r="A64" s="8"/>
      <c r="E64" s="11"/>
    </row>
    <row r="65" spans="1:6" x14ac:dyDescent="0.25">
      <c r="B65" s="5" t="s">
        <v>108</v>
      </c>
    </row>
    <row r="66" spans="1:6" x14ac:dyDescent="0.25">
      <c r="A66" s="8"/>
      <c r="B66" t="s">
        <v>33</v>
      </c>
      <c r="E66" s="16">
        <v>4.08</v>
      </c>
      <c r="F66" t="s">
        <v>23</v>
      </c>
    </row>
    <row r="67" spans="1:6" x14ac:dyDescent="0.25">
      <c r="A67" s="8"/>
      <c r="B67" t="s">
        <v>51</v>
      </c>
      <c r="E67" s="16">
        <v>1.08</v>
      </c>
      <c r="F67" t="s">
        <v>23</v>
      </c>
    </row>
    <row r="68" spans="1:6" x14ac:dyDescent="0.25">
      <c r="A68" s="8"/>
      <c r="B68" t="s">
        <v>32</v>
      </c>
      <c r="E68" s="16">
        <v>13.67</v>
      </c>
      <c r="F68" t="s">
        <v>23</v>
      </c>
    </row>
    <row r="69" spans="1:6" x14ac:dyDescent="0.25">
      <c r="A69" s="8"/>
      <c r="E69" s="11"/>
    </row>
    <row r="70" spans="1:6" x14ac:dyDescent="0.25">
      <c r="A70" s="8"/>
      <c r="D70" s="9" t="s">
        <v>29</v>
      </c>
      <c r="E70" s="13">
        <f>ROUNDUP((E56*E57*E58+E61*E62*E63+E66*E67*E68)/27,0)</f>
        <v>336</v>
      </c>
      <c r="F70" s="14" t="s">
        <v>25</v>
      </c>
    </row>
    <row r="71" spans="1:6" x14ac:dyDescent="0.25">
      <c r="A71" s="5"/>
      <c r="D71" s="9"/>
      <c r="E71" s="13"/>
      <c r="F71" s="14"/>
    </row>
    <row r="72" spans="1:6" x14ac:dyDescent="0.25">
      <c r="A72" s="8" t="s">
        <v>46</v>
      </c>
    </row>
    <row r="73" spans="1:6" x14ac:dyDescent="0.25">
      <c r="A73" s="8"/>
    </row>
    <row r="74" spans="1:6" x14ac:dyDescent="0.25">
      <c r="A74" s="8"/>
      <c r="B74" t="s">
        <v>81</v>
      </c>
      <c r="D74" s="16">
        <f>2.67+1.42+1.58</f>
        <v>5.67</v>
      </c>
      <c r="E74" t="s">
        <v>23</v>
      </c>
    </row>
    <row r="75" spans="1:6" x14ac:dyDescent="0.25">
      <c r="A75" s="8"/>
      <c r="B75" t="s">
        <v>32</v>
      </c>
      <c r="D75" s="11">
        <f>C36</f>
        <v>302.15625</v>
      </c>
      <c r="E75" t="s">
        <v>23</v>
      </c>
    </row>
    <row r="76" spans="1:6" x14ac:dyDescent="0.25">
      <c r="A76" s="8"/>
      <c r="E76" s="11"/>
    </row>
    <row r="77" spans="1:6" x14ac:dyDescent="0.25">
      <c r="A77" s="8"/>
      <c r="D77" s="9" t="s">
        <v>29</v>
      </c>
      <c r="E77" s="13">
        <f>ROUNDUP((D74*D75)/9,0)</f>
        <v>191</v>
      </c>
      <c r="F77" s="14" t="s">
        <v>35</v>
      </c>
    </row>
    <row r="79" spans="1:6" x14ac:dyDescent="0.25">
      <c r="A79" s="8" t="s">
        <v>36</v>
      </c>
    </row>
    <row r="80" spans="1:6" x14ac:dyDescent="0.25">
      <c r="A80" s="8"/>
    </row>
    <row r="81" spans="1:6" x14ac:dyDescent="0.25">
      <c r="A81" s="8"/>
      <c r="B81" t="s">
        <v>30</v>
      </c>
      <c r="C81" s="16">
        <f>6623+C36*2.67</f>
        <v>7429.7571875000003</v>
      </c>
      <c r="D81" t="s">
        <v>82</v>
      </c>
    </row>
    <row r="82" spans="1:6" x14ac:dyDescent="0.25">
      <c r="A82" s="8"/>
    </row>
    <row r="83" spans="1:6" x14ac:dyDescent="0.25">
      <c r="A83" s="8"/>
      <c r="D83" s="9" t="s">
        <v>29</v>
      </c>
      <c r="E83" s="13">
        <f>ROUNDUP((C81)/9,0)</f>
        <v>826</v>
      </c>
      <c r="F83" s="14" t="s">
        <v>35</v>
      </c>
    </row>
    <row r="85" spans="1:6" x14ac:dyDescent="0.25">
      <c r="A85" s="8" t="s">
        <v>47</v>
      </c>
    </row>
    <row r="86" spans="1:6" x14ac:dyDescent="0.25">
      <c r="A86" s="8"/>
    </row>
    <row r="87" spans="1:6" x14ac:dyDescent="0.25">
      <c r="A87" s="8"/>
      <c r="B87" t="s">
        <v>83</v>
      </c>
      <c r="D87" s="16">
        <v>3</v>
      </c>
      <c r="E87" t="s">
        <v>23</v>
      </c>
    </row>
    <row r="88" spans="1:6" x14ac:dyDescent="0.25">
      <c r="A88" s="8"/>
      <c r="B88" t="s">
        <v>84</v>
      </c>
      <c r="D88" s="16">
        <f>2.5+3.5+4</f>
        <v>10</v>
      </c>
      <c r="E88" t="s">
        <v>23</v>
      </c>
    </row>
    <row r="89" spans="1:6" x14ac:dyDescent="0.25">
      <c r="A89" s="8"/>
      <c r="B89" t="s">
        <v>85</v>
      </c>
      <c r="D89" s="15">
        <v>6</v>
      </c>
      <c r="E89" t="s">
        <v>50</v>
      </c>
    </row>
    <row r="90" spans="1:6" x14ac:dyDescent="0.25">
      <c r="A90" s="8"/>
      <c r="B90" t="s">
        <v>86</v>
      </c>
      <c r="D90" s="16">
        <f>C36</f>
        <v>302.15625</v>
      </c>
      <c r="E90" t="s">
        <v>87</v>
      </c>
    </row>
    <row r="91" spans="1:6" x14ac:dyDescent="0.25">
      <c r="A91" s="8"/>
    </row>
    <row r="92" spans="1:6" x14ac:dyDescent="0.25">
      <c r="A92" s="8"/>
      <c r="D92" s="9" t="s">
        <v>29</v>
      </c>
      <c r="E92" s="13">
        <f>ROUNDUP((D87*D88*D89+D90*D87)/9,0)</f>
        <v>121</v>
      </c>
      <c r="F92" s="14" t="s">
        <v>35</v>
      </c>
    </row>
    <row r="94" spans="1:6" x14ac:dyDescent="0.25">
      <c r="A94" s="8" t="s">
        <v>37</v>
      </c>
    </row>
    <row r="95" spans="1:6" x14ac:dyDescent="0.25">
      <c r="A95" s="8"/>
    </row>
    <row r="96" spans="1:6" x14ac:dyDescent="0.25">
      <c r="A96" s="8"/>
      <c r="B96" t="s">
        <v>88</v>
      </c>
      <c r="E96" s="16">
        <f>5.08*4+3*3+2.67*1.42</f>
        <v>33.111400000000003</v>
      </c>
      <c r="F96" t="s">
        <v>31</v>
      </c>
    </row>
    <row r="97" spans="1:6" x14ac:dyDescent="0.25">
      <c r="A97" s="8"/>
      <c r="B97" t="s">
        <v>85</v>
      </c>
      <c r="E97" s="15">
        <v>6</v>
      </c>
      <c r="F97" t="s">
        <v>50</v>
      </c>
    </row>
    <row r="98" spans="1:6" x14ac:dyDescent="0.25">
      <c r="A98" s="8"/>
    </row>
    <row r="99" spans="1:6" x14ac:dyDescent="0.25">
      <c r="B99" t="s">
        <v>89</v>
      </c>
      <c r="E99" s="16">
        <f>'[2]Precast Panel'!$J$15+'[2]Precast Panel'!$J$23+'[2]Precast Panel'!$J$31+'[2]Precast Panel'!$J$39</f>
        <v>112.06000000000006</v>
      </c>
      <c r="F99" t="s">
        <v>99</v>
      </c>
    </row>
    <row r="100" spans="1:6" x14ac:dyDescent="0.25">
      <c r="A100" s="8"/>
      <c r="B100" t="s">
        <v>90</v>
      </c>
      <c r="E100" s="16">
        <v>0.92</v>
      </c>
      <c r="F100" t="s">
        <v>23</v>
      </c>
    </row>
    <row r="101" spans="1:6" x14ac:dyDescent="0.25">
      <c r="A101" s="8"/>
    </row>
    <row r="102" spans="1:6" x14ac:dyDescent="0.25">
      <c r="A102" s="8"/>
      <c r="D102" s="9" t="s">
        <v>29</v>
      </c>
      <c r="E102" s="13">
        <f>ROUNDUP(E96*E97+E99*E100,0)</f>
        <v>302</v>
      </c>
      <c r="F102" s="14" t="s">
        <v>31</v>
      </c>
    </row>
    <row r="104" spans="1:6" x14ac:dyDescent="0.25">
      <c r="A104" s="8" t="s">
        <v>38</v>
      </c>
    </row>
    <row r="105" spans="1:6" x14ac:dyDescent="0.25">
      <c r="A105" s="8"/>
      <c r="C105" t="s">
        <v>39</v>
      </c>
    </row>
    <row r="106" spans="1:6" x14ac:dyDescent="0.25">
      <c r="A106" s="8"/>
      <c r="B106" t="s">
        <v>91</v>
      </c>
      <c r="D106" s="16">
        <f>2*4</f>
        <v>8</v>
      </c>
      <c r="E106" t="s">
        <v>31</v>
      </c>
    </row>
    <row r="107" spans="1:6" x14ac:dyDescent="0.25">
      <c r="A107" s="8"/>
      <c r="B107" t="s">
        <v>104</v>
      </c>
      <c r="D107" s="16">
        <f>C36+1+1+1+1</f>
        <v>306.15625</v>
      </c>
      <c r="E107" t="s">
        <v>93</v>
      </c>
    </row>
    <row r="108" spans="1:6" x14ac:dyDescent="0.25">
      <c r="A108" s="8"/>
      <c r="B108" t="s">
        <v>92</v>
      </c>
      <c r="D108" s="16">
        <f>2*2+2.67*0.5</f>
        <v>5.335</v>
      </c>
      <c r="E108" t="s">
        <v>31</v>
      </c>
    </row>
    <row r="109" spans="1:6" x14ac:dyDescent="0.25">
      <c r="B109" t="s">
        <v>105</v>
      </c>
      <c r="D109" s="16">
        <f>96+39</f>
        <v>135</v>
      </c>
      <c r="E109" t="s">
        <v>93</v>
      </c>
    </row>
    <row r="110" spans="1:6" x14ac:dyDescent="0.25">
      <c r="D110" s="11"/>
    </row>
    <row r="111" spans="1:6" x14ac:dyDescent="0.25">
      <c r="D111" s="9" t="s">
        <v>29</v>
      </c>
      <c r="E111" s="13">
        <f>ROUNDUP((D106*D107+D108*D109)/27,0)</f>
        <v>118</v>
      </c>
      <c r="F111" s="14" t="s">
        <v>25</v>
      </c>
    </row>
    <row r="113" spans="1:6" x14ac:dyDescent="0.25">
      <c r="A113" s="8" t="s">
        <v>40</v>
      </c>
    </row>
    <row r="114" spans="1:6" x14ac:dyDescent="0.25">
      <c r="A114" s="8"/>
    </row>
    <row r="115" spans="1:6" x14ac:dyDescent="0.25">
      <c r="A115" s="8"/>
      <c r="B115" s="45" t="s">
        <v>106</v>
      </c>
      <c r="C115" s="16">
        <f>D107</f>
        <v>306.15625</v>
      </c>
      <c r="D115" t="s">
        <v>23</v>
      </c>
    </row>
    <row r="116" spans="1:6" x14ac:dyDescent="0.25">
      <c r="A116" s="8"/>
      <c r="B116" s="45" t="s">
        <v>107</v>
      </c>
      <c r="C116" s="16">
        <f>D109</f>
        <v>135</v>
      </c>
      <c r="D116" t="s">
        <v>23</v>
      </c>
    </row>
    <row r="117" spans="1:6" x14ac:dyDescent="0.25">
      <c r="A117" s="8"/>
      <c r="B117" s="45"/>
      <c r="C117" s="11"/>
    </row>
    <row r="118" spans="1:6" x14ac:dyDescent="0.25">
      <c r="A118" s="8"/>
      <c r="D118" s="9" t="s">
        <v>29</v>
      </c>
      <c r="E118" s="13">
        <f>ROUNDUP(C115+C116,0)</f>
        <v>442</v>
      </c>
      <c r="F118" s="14" t="s">
        <v>23</v>
      </c>
    </row>
    <row r="120" spans="1:6" hidden="1" x14ac:dyDescent="0.25">
      <c r="A120" s="8" t="s">
        <v>94</v>
      </c>
    </row>
    <row r="121" spans="1:6" hidden="1" x14ac:dyDescent="0.25">
      <c r="A121" s="8"/>
    </row>
    <row r="122" spans="1:6" hidden="1" x14ac:dyDescent="0.25">
      <c r="A122" s="8"/>
      <c r="B122" t="s">
        <v>32</v>
      </c>
      <c r="C122" s="16">
        <v>0</v>
      </c>
      <c r="D122" t="s">
        <v>23</v>
      </c>
    </row>
    <row r="123" spans="1:6" hidden="1" x14ac:dyDescent="0.25">
      <c r="A123" s="8"/>
    </row>
    <row r="124" spans="1:6" hidden="1" x14ac:dyDescent="0.25">
      <c r="A124" s="8"/>
      <c r="D124" s="9" t="s">
        <v>29</v>
      </c>
      <c r="E124" s="13">
        <f>ROUNDUP(C122,0)</f>
        <v>0</v>
      </c>
      <c r="F124" s="14" t="s">
        <v>102</v>
      </c>
    </row>
    <row r="125" spans="1:6" hidden="1" x14ac:dyDescent="0.25"/>
    <row r="126" spans="1:6" x14ac:dyDescent="0.25">
      <c r="A126" s="8" t="s">
        <v>109</v>
      </c>
    </row>
    <row r="128" spans="1:6" x14ac:dyDescent="0.25">
      <c r="E128" s="11">
        <f>'[2]Drilled Shaft'!$L$7</f>
        <v>73.666666666666629</v>
      </c>
      <c r="F128" t="s">
        <v>100</v>
      </c>
    </row>
    <row r="130" spans="1:6" x14ac:dyDescent="0.25">
      <c r="D130" s="9" t="s">
        <v>29</v>
      </c>
      <c r="E130" s="13">
        <f>ROUNDUP(E128,0)</f>
        <v>74</v>
      </c>
      <c r="F130" s="14" t="s">
        <v>23</v>
      </c>
    </row>
    <row r="131" spans="1:6" x14ac:dyDescent="0.25">
      <c r="D131" s="9"/>
      <c r="E131" s="13"/>
      <c r="F131" s="14"/>
    </row>
    <row r="132" spans="1:6" x14ac:dyDescent="0.25">
      <c r="A132" s="8" t="s">
        <v>110</v>
      </c>
    </row>
    <row r="134" spans="1:6" x14ac:dyDescent="0.25">
      <c r="E134" s="11">
        <f>'[2]Drilled Shaft'!$L$6</f>
        <v>4346.3333333333276</v>
      </c>
      <c r="F134" t="s">
        <v>100</v>
      </c>
    </row>
    <row r="136" spans="1:6" x14ac:dyDescent="0.25">
      <c r="D136" s="9" t="s">
        <v>29</v>
      </c>
      <c r="E136" s="13">
        <f>ROUNDUP(E134,0)</f>
        <v>4347</v>
      </c>
      <c r="F136" s="14" t="s">
        <v>23</v>
      </c>
    </row>
    <row r="137" spans="1:6" x14ac:dyDescent="0.25">
      <c r="D137" s="9"/>
      <c r="E137" s="13"/>
      <c r="F137" s="14"/>
    </row>
    <row r="138" spans="1:6" x14ac:dyDescent="0.25">
      <c r="A138" s="8" t="s">
        <v>95</v>
      </c>
    </row>
    <row r="140" spans="1:6" x14ac:dyDescent="0.25">
      <c r="E140" s="11">
        <f>'[2]Precast Panel'!$L$3</f>
        <v>8450.5439410000017</v>
      </c>
      <c r="F140" t="s">
        <v>96</v>
      </c>
    </row>
    <row r="142" spans="1:6" x14ac:dyDescent="0.25">
      <c r="D142" s="9" t="s">
        <v>29</v>
      </c>
      <c r="E142" s="13">
        <f>ROUNDUP(SUM(E140),0)</f>
        <v>8451</v>
      </c>
      <c r="F142" s="14" t="s">
        <v>31</v>
      </c>
    </row>
    <row r="144" spans="1:6" x14ac:dyDescent="0.25">
      <c r="A144" s="8" t="s">
        <v>97</v>
      </c>
    </row>
    <row r="145" spans="1:6" x14ac:dyDescent="0.25">
      <c r="A145" s="8"/>
    </row>
    <row r="146" spans="1:6" x14ac:dyDescent="0.25">
      <c r="A146" s="8"/>
      <c r="B146" t="s">
        <v>32</v>
      </c>
      <c r="C146" s="16">
        <f>C36</f>
        <v>302.15625</v>
      </c>
      <c r="D146" t="s">
        <v>23</v>
      </c>
    </row>
    <row r="147" spans="1:6" x14ac:dyDescent="0.25">
      <c r="A147" s="8"/>
      <c r="C147" s="11"/>
    </row>
    <row r="148" spans="1:6" x14ac:dyDescent="0.25">
      <c r="A148" s="8"/>
      <c r="C148" s="11"/>
      <c r="D148" s="9" t="s">
        <v>29</v>
      </c>
      <c r="E148" s="13">
        <f>ROUNDUP(C146,0)</f>
        <v>303</v>
      </c>
      <c r="F148" s="14" t="s">
        <v>23</v>
      </c>
    </row>
    <row r="151" spans="1:6" x14ac:dyDescent="0.25">
      <c r="A151" s="8" t="s">
        <v>118</v>
      </c>
    </row>
    <row r="152" spans="1:6" x14ac:dyDescent="0.25">
      <c r="A152" s="8"/>
    </row>
    <row r="153" spans="1:6" x14ac:dyDescent="0.25">
      <c r="A153" s="8"/>
      <c r="C153" s="16">
        <v>60</v>
      </c>
      <c r="D153" t="s">
        <v>119</v>
      </c>
    </row>
    <row r="154" spans="1:6" x14ac:dyDescent="0.25">
      <c r="A154" s="8"/>
      <c r="C154" s="11"/>
    </row>
    <row r="155" spans="1:6" x14ac:dyDescent="0.25">
      <c r="A155" s="8"/>
      <c r="C155" s="11"/>
      <c r="D155" s="9" t="s">
        <v>29</v>
      </c>
      <c r="E155" s="13">
        <f>ROUNDUP(C153,0)</f>
        <v>60</v>
      </c>
      <c r="F155" s="14" t="s">
        <v>119</v>
      </c>
    </row>
  </sheetData>
  <pageMargins left="0.7" right="0.7" top="0.75" bottom="0.75" header="0.3" footer="0.3"/>
  <pageSetup scale="71" fitToHeight="8" orientation="portrait" r:id="rId1"/>
  <rowBreaks count="2" manualBreakCount="2">
    <brk id="38" max="10" man="1"/>
    <brk id="83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AutoTable</vt:lpstr>
      <vt:lpstr>4W17</vt:lpstr>
      <vt:lpstr>'4W17'!Print_Area</vt:lpstr>
    </vt:vector>
  </TitlesOfParts>
  <Company>GPD Group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mjurcak</dc:creator>
  <cp:lastModifiedBy>Jurcak, Michael</cp:lastModifiedBy>
  <cp:lastPrinted>2022-01-28T19:22:37Z</cp:lastPrinted>
  <dcterms:created xsi:type="dcterms:W3CDTF">2016-05-31T17:35:26Z</dcterms:created>
  <dcterms:modified xsi:type="dcterms:W3CDTF">2023-04-19T16:23:15Z</dcterms:modified>
</cp:coreProperties>
</file>